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1"/>
  </bookViews>
  <sheets>
    <sheet name="INSTRUCTIONS" sheetId="1" r:id="rId1"/>
    <sheet name="ABC Cash Flow Year 1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<sst xmlns="http://schemas.openxmlformats.org/spreadsheetml/2006/main" count="114" uniqueCount="90">
  <si>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r>
      <t>R</t>
    </r>
    <r>
      <rPr>
        <sz val="12"/>
        <color indexed="8"/>
        <rFont val="Calibri"/>
        <family val="2"/>
      </rPr>
      <t>aw materials, ingredients, and packaging</t>
    </r>
    <r>
      <rPr>
        <sz val="12"/>
        <color indexed="8"/>
        <rFont val="Calibri"/>
        <family val="2"/>
      </rPr>
      <t xml:space="preserve"> all increase proportionately with revenue. </t>
    </r>
  </si>
  <si>
    <r>
      <t xml:space="preserve">Based on business history, </t>
    </r>
    <r>
      <rPr>
        <sz val="12"/>
        <color indexed="8"/>
        <rFont val="Calibri"/>
        <family val="2"/>
      </rPr>
      <t xml:space="preserve">January's processing receipts are </t>
    </r>
    <r>
      <rPr>
        <sz val="12"/>
        <color indexed="8"/>
        <rFont val="Calibri"/>
        <family val="2"/>
      </rPr>
      <t xml:space="preserve">figured at </t>
    </r>
    <r>
      <rPr>
        <sz val="12"/>
        <color indexed="8"/>
        <rFont val="Calibri"/>
        <family val="2"/>
      </rPr>
      <t xml:space="preserve">8.255% of the year's </t>
    </r>
    <r>
      <rPr>
        <sz val="12"/>
        <color indexed="8"/>
        <rFont val="Calibri"/>
        <family val="2"/>
      </rPr>
      <t xml:space="preserve">total </t>
    </r>
    <r>
      <rPr>
        <sz val="12"/>
        <color indexed="8"/>
        <rFont val="Calibri"/>
        <family val="2"/>
      </rPr>
      <t xml:space="preserve">processing receipts. </t>
    </r>
  </si>
  <si>
    <r>
      <t xml:space="preserve">The worksheet in the next tab is </t>
    </r>
    <r>
      <rPr>
        <sz val="12"/>
        <color indexed="8"/>
        <rFont val="Calibri"/>
        <family val="2"/>
      </rPr>
      <t xml:space="preserve">ONLY </t>
    </r>
    <r>
      <rPr>
        <sz val="12"/>
        <color indexed="8"/>
        <rFont val="Calibri"/>
        <family val="2"/>
      </rPr>
      <t>for Year 1 (</t>
    </r>
    <r>
      <rPr>
        <sz val="12"/>
        <color indexed="8"/>
        <rFont val="Calibri"/>
        <family val="2"/>
      </rPr>
      <t xml:space="preserve">because </t>
    </r>
    <r>
      <rPr>
        <sz val="12"/>
        <color indexed="8"/>
        <rFont val="Calibri"/>
        <family val="2"/>
      </rPr>
      <t>the second and third year cash flow projections use the same format).</t>
    </r>
  </si>
  <si>
    <r>
      <t xml:space="preserve">The cash flow projections for the new business build on </t>
    </r>
    <r>
      <rPr>
        <sz val="12"/>
        <color indexed="8"/>
        <rFont val="Calibri"/>
        <family val="2"/>
      </rPr>
      <t>real</t>
    </r>
    <r>
      <rPr>
        <sz val="12"/>
        <color indexed="8"/>
        <rFont val="Calibri"/>
        <family val="2"/>
      </rPr>
      <t xml:space="preserve"> cost/revenue data from the existing business.  </t>
    </r>
  </si>
  <si>
    <r>
      <t xml:space="preserve">They also use conservative growth factors, which vary by month to reflect </t>
    </r>
    <r>
      <rPr>
        <sz val="12"/>
        <color indexed="8"/>
        <rFont val="Calibri"/>
        <family val="2"/>
      </rPr>
      <t xml:space="preserve">the </t>
    </r>
    <r>
      <rPr>
        <sz val="12"/>
        <color indexed="8"/>
        <rFont val="Calibri"/>
        <family val="2"/>
      </rPr>
      <t xml:space="preserve">seasonality of demand. </t>
    </r>
  </si>
  <si>
    <r>
      <t xml:space="preserve">Others </t>
    </r>
    <r>
      <rPr>
        <sz val="12"/>
        <color indexed="8"/>
        <rFont val="Calibri"/>
        <family val="2"/>
      </rPr>
      <t xml:space="preserve">expenses </t>
    </r>
    <r>
      <rPr>
        <sz val="12"/>
        <color indexed="8"/>
        <rFont val="Calibri"/>
        <family val="2"/>
      </rPr>
      <t>are amounts paid in full in one specific month: license, travel.</t>
    </r>
  </si>
  <si>
    <t>Wages, payroll, and utilities are estimated to increase a specific percentage (40 or 50%) over current levels,</t>
  </si>
  <si>
    <t xml:space="preserve">based on the demands of the new business. </t>
  </si>
  <si>
    <t xml:space="preserve">And the interest payment and principal payment depend, of course, on the size/terms of your loan. </t>
  </si>
  <si>
    <t>Year 1 Monthly Cash Flow: ABC Meats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</si>
  <si>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</si>
  <si>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</si>
  <si>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</si>
  <si>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</si>
  <si>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</si>
  <si>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</si>
  <si>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</si>
  <si>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</si>
  <si>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</si>
  <si>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</si>
  <si>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</si>
  <si>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</si>
  <si>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</si>
  <si>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</si>
  <si>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</si>
  <si>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</si>
  <si>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</si>
  <si>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</si>
  <si>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</si>
  <si>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</si>
  <si>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</si>
  <si>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</si>
  <si>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</si>
  <si>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</si>
  <si>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</si>
  <si>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Cash Receipts from Processing</t>
  </si>
  <si>
    <t>Cash Receipts from Retail</t>
  </si>
  <si>
    <t>Cash Receipts from Wholesale</t>
  </si>
  <si>
    <t>Cash Available (Start Up Operating Capital)</t>
  </si>
  <si>
    <t>General Expenses (Cash Out)</t>
  </si>
  <si>
    <t>Raw Materials</t>
  </si>
  <si>
    <t>Ingredients</t>
  </si>
  <si>
    <t>Packaging</t>
  </si>
  <si>
    <t>Officer Wages</t>
  </si>
  <si>
    <t>Hourly Wages</t>
  </si>
  <si>
    <t>Payroll Expense</t>
  </si>
  <si>
    <t>Contract Labor</t>
  </si>
  <si>
    <t>Dues and Subscriptions</t>
  </si>
  <si>
    <t>Interest Expense</t>
  </si>
  <si>
    <t>Property Taxes</t>
  </si>
  <si>
    <t>Laundry</t>
  </si>
  <si>
    <t>License</t>
  </si>
  <si>
    <t>Legal and Accounting</t>
  </si>
  <si>
    <t>Vehicle Expense</t>
  </si>
  <si>
    <t>Replacement Tools</t>
  </si>
  <si>
    <t>Telephone</t>
  </si>
  <si>
    <t>Advertising</t>
  </si>
  <si>
    <t>Office Expense</t>
  </si>
  <si>
    <t>Utilities</t>
  </si>
  <si>
    <t>Insurance Expense</t>
  </si>
  <si>
    <t>Rent</t>
  </si>
  <si>
    <t>Travel</t>
  </si>
  <si>
    <t>Supplies</t>
  </si>
  <si>
    <t>Other Services</t>
  </si>
  <si>
    <t>Repairs and Maintenance</t>
  </si>
  <si>
    <t>Total General Expense (Cash Out)</t>
  </si>
  <si>
    <t>Principal Payment</t>
  </si>
  <si>
    <t xml:space="preserve"> Taxes</t>
  </si>
  <si>
    <t>Cash Available</t>
  </si>
  <si>
    <t>Cash Forward</t>
  </si>
  <si>
    <t>The above are conservative estimates of growth based on previous sales and amount of custom business turned away</t>
  </si>
  <si>
    <t>INSTRUCTIONS FOR USING THIS SPREADSHEET</t>
  </si>
  <si>
    <t xml:space="preserve">This spreadsheet, "ABC Cash Flow Year 1," comes from the Niche Meat Processor Assistance Network guide, </t>
  </si>
  <si>
    <t>"Small Meat Processors Business Planning Guidebook," Appendix I.</t>
  </si>
  <si>
    <t>The ABC Meats business plan includes cash flow projections for three years, as shown in the guidebook.</t>
  </si>
  <si>
    <t>As explained in the guidebook, ABC Meats is an existing business, planning to expand operations</t>
  </si>
  <si>
    <t>Here is a basic explanation of where the numbers/formulas in the spreadsheet come from:</t>
  </si>
  <si>
    <t>Revenue projections</t>
  </si>
  <si>
    <t>Cash receipts from processing  = current processing revenue * estimated growth factor (varies by month)</t>
  </si>
  <si>
    <t>Cash receipts from retail = estimated at double current revenue, divided evenly over 12 months.</t>
  </si>
  <si>
    <t>Cash receipts from wholesale = estimated at $25,000/year, divided evenly over 12 months.</t>
  </si>
  <si>
    <t>Expense projections</t>
  </si>
  <si>
    <t xml:space="preserve">Expenses are estimated in different ways, often but not always using data from the existing business. </t>
  </si>
  <si>
    <t>Using raw materials as an example: the total cost of raw materials last year was $88,422.</t>
  </si>
  <si>
    <t xml:space="preserve">For other expenses, an estimate was made for the full year, then divided evenly over the 12 months. </t>
  </si>
  <si>
    <t>$88,422   X    8.255%    X   1.5  =   $10,949</t>
  </si>
  <si>
    <t>So, total expense for last year  X  month's % of yearly revenue total  X  month's projected growth factor  =   expense with growth.</t>
  </si>
  <si>
    <r>
      <t>The</t>
    </r>
    <r>
      <rPr>
        <sz val="12"/>
        <color indexed="8"/>
        <rFont val="Calibri"/>
        <family val="2"/>
      </rPr>
      <t xml:space="preserve"> revenue</t>
    </r>
    <r>
      <rPr>
        <sz val="12"/>
        <color indexed="8"/>
        <rFont val="Calibri"/>
        <family val="2"/>
      </rPr>
      <t xml:space="preserve"> growth factor for January (cell R3) is 1.5</t>
    </r>
    <r>
      <rPr>
        <sz val="12"/>
        <color indexed="8"/>
        <rFont val="Calibri"/>
        <family val="2"/>
      </rPr>
      <t xml:space="preserve"> (somewhat arbitrary, based on historical seasonality).</t>
    </r>
  </si>
  <si>
    <r>
      <t>This was don</t>
    </r>
    <r>
      <rPr>
        <sz val="12"/>
        <color indexed="8"/>
        <rFont val="Calibri"/>
        <family val="2"/>
      </rPr>
      <t>e for: officer wages, dues and subscriptions, property taxes, laundry, replacement tools, telephone, advertising, office expense, rent, other services, and taxes.</t>
    </r>
  </si>
  <si>
    <r>
      <t xml:space="preserve">Other </t>
    </r>
    <r>
      <rPr>
        <sz val="12"/>
        <color indexed="8"/>
        <rFont val="Calibri"/>
        <family val="2"/>
      </rPr>
      <t xml:space="preserve">expenses </t>
    </r>
    <r>
      <rPr>
        <sz val="12"/>
        <color indexed="8"/>
        <rFont val="Calibri"/>
        <family val="2"/>
      </rPr>
      <t>were estimated per month and summed over 12 months for an annual total. This was done for contract labor, supplies, and repairs &amp; maintenance.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</si>
</sst>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4" borderId="0" xfId="0" applyFont="1" applyFill="1" applyAlignment="1">
      <alignment horizontal="left"/>
    </xf>
    <xf numFmtId="0" fontId="40" fillId="35" borderId="10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16" fontId="40" fillId="0" borderId="10" xfId="0" applyNumberFormat="1" applyFont="1" applyBorder="1" applyAlignment="1">
      <alignment horizontal="center"/>
    </xf>
    <xf numFmtId="16" fontId="40" fillId="0" borderId="11" xfId="0" applyNumberFormat="1" applyFont="1" applyBorder="1" applyAlignment="1">
      <alignment horizontal="center"/>
    </xf>
    <xf numFmtId="16" fontId="40" fillId="0" borderId="14" xfId="0" applyNumberFormat="1" applyFont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left"/>
    </xf>
    <xf numFmtId="164" fontId="39" fillId="0" borderId="17" xfId="0" applyNumberFormat="1" applyFont="1" applyBorder="1" applyAlignment="1">
      <alignment horizontal="center"/>
    </xf>
    <xf numFmtId="164" fontId="39" fillId="0" borderId="13" xfId="0" applyNumberFormat="1" applyFont="1" applyBorder="1" applyAlignment="1">
      <alignment horizontal="center"/>
    </xf>
    <xf numFmtId="164" fontId="39" fillId="0" borderId="18" xfId="0" applyNumberFormat="1" applyFont="1" applyBorder="1" applyAlignment="1">
      <alignment horizontal="center"/>
    </xf>
    <xf numFmtId="164" fontId="39" fillId="35" borderId="19" xfId="0" applyNumberFormat="1" applyFont="1" applyFill="1" applyBorder="1" applyAlignment="1">
      <alignment horizontal="center"/>
    </xf>
    <xf numFmtId="164" fontId="40" fillId="0" borderId="19" xfId="0" applyNumberFormat="1" applyFont="1" applyBorder="1" applyAlignment="1">
      <alignment horizontal="center"/>
    </xf>
    <xf numFmtId="164" fontId="39" fillId="0" borderId="16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164" fontId="40" fillId="0" borderId="20" xfId="0" applyNumberFormat="1" applyFont="1" applyBorder="1" applyAlignment="1">
      <alignment horizontal="center"/>
    </xf>
    <xf numFmtId="164" fontId="40" fillId="0" borderId="21" xfId="0" applyNumberFormat="1" applyFont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0" fontId="40" fillId="35" borderId="10" xfId="0" applyFont="1" applyFill="1" applyBorder="1" applyAlignment="1">
      <alignment horizontal="left"/>
    </xf>
    <xf numFmtId="165" fontId="39" fillId="35" borderId="17" xfId="57" applyNumberFormat="1" applyFont="1" applyFill="1" applyBorder="1" applyAlignment="1">
      <alignment horizontal="center"/>
    </xf>
    <xf numFmtId="164" fontId="39" fillId="35" borderId="11" xfId="0" applyNumberFormat="1" applyFont="1" applyFill="1" applyBorder="1" applyAlignment="1">
      <alignment horizontal="center"/>
    </xf>
    <xf numFmtId="164" fontId="39" fillId="35" borderId="13" xfId="0" applyNumberFormat="1" applyFont="1" applyFill="1" applyBorder="1" applyAlignment="1">
      <alignment horizontal="center"/>
    </xf>
    <xf numFmtId="164" fontId="39" fillId="35" borderId="18" xfId="0" applyNumberFormat="1" applyFont="1" applyFill="1" applyBorder="1" applyAlignment="1">
      <alignment horizontal="center"/>
    </xf>
    <xf numFmtId="164" fontId="39" fillId="35" borderId="15" xfId="0" applyNumberFormat="1" applyFont="1" applyFill="1" applyBorder="1" applyAlignment="1">
      <alignment horizontal="center"/>
    </xf>
    <xf numFmtId="164" fontId="40" fillId="35" borderId="1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164" fontId="39" fillId="0" borderId="17" xfId="0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0" borderId="18" xfId="0" applyNumberFormat="1" applyFont="1" applyFill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64" fontId="39" fillId="0" borderId="19" xfId="0" applyNumberFormat="1" applyFont="1" applyFill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0" fontId="40" fillId="35" borderId="23" xfId="0" applyFont="1" applyFill="1" applyBorder="1" applyAlignment="1">
      <alignment horizontal="left"/>
    </xf>
    <xf numFmtId="164" fontId="39" fillId="35" borderId="21" xfId="0" applyNumberFormat="1" applyFont="1" applyFill="1" applyBorder="1" applyAlignment="1">
      <alignment horizontal="center"/>
    </xf>
    <xf numFmtId="164" fontId="39" fillId="35" borderId="22" xfId="0" applyNumberFormat="1" applyFont="1" applyFill="1" applyBorder="1" applyAlignment="1">
      <alignment horizontal="center"/>
    </xf>
    <xf numFmtId="164" fontId="40" fillId="35" borderId="10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horizontal="left"/>
    </xf>
    <xf numFmtId="164" fontId="40" fillId="0" borderId="13" xfId="0" applyNumberFormat="1" applyFont="1" applyBorder="1" applyAlignment="1">
      <alignment horizontal="center"/>
    </xf>
    <xf numFmtId="0" fontId="39" fillId="0" borderId="24" xfId="0" applyFont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164" fontId="39" fillId="35" borderId="24" xfId="0" applyNumberFormat="1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0" fontId="39" fillId="7" borderId="0" xfId="0" applyFont="1" applyFill="1" applyAlignment="1">
      <alignment/>
    </xf>
    <xf numFmtId="0" fontId="39" fillId="2" borderId="0" xfId="0" applyFont="1" applyFill="1" applyAlignment="1">
      <alignment/>
    </xf>
    <xf numFmtId="0" fontId="39" fillId="4" borderId="0" xfId="0" applyFont="1" applyFill="1" applyAlignment="1">
      <alignment/>
    </xf>
    <xf numFmtId="0" fontId="39" fillId="36" borderId="0" xfId="0" applyFont="1" applyFill="1" applyAlignment="1">
      <alignment/>
    </xf>
    <xf numFmtId="0" fontId="40" fillId="2" borderId="0" xfId="0" applyFont="1" applyFill="1" applyAlignment="1">
      <alignment/>
    </xf>
    <xf numFmtId="0" fontId="40" fillId="4" borderId="0" xfId="0" applyFont="1" applyFill="1" applyAlignment="1">
      <alignment wrapText="1"/>
    </xf>
    <xf numFmtId="0" fontId="39" fillId="4" borderId="0" xfId="0" applyFont="1" applyFill="1" applyAlignment="1">
      <alignment wrapText="1"/>
    </xf>
    <xf numFmtId="0" fontId="39" fillId="4" borderId="0" xfId="0" applyFont="1" applyFill="1" applyAlignment="1">
      <alignment horizontal="left" indent="3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left" wrapText="1" indent="3"/>
    </xf>
    <xf numFmtId="0" fontId="4" fillId="4" borderId="0" xfId="0" applyFont="1" applyFill="1" applyAlignment="1">
      <alignment horizontal="left" wrapText="1" indent="6"/>
    </xf>
    <xf numFmtId="0" fontId="3" fillId="4" borderId="0" xfId="0" applyFont="1" applyFill="1" applyAlignment="1">
      <alignment vertical="top" wrapText="1"/>
    </xf>
    <xf numFmtId="0" fontId="39" fillId="7" borderId="0" xfId="0" applyFont="1" applyFill="1" applyAlignment="1">
      <alignment wrapText="1"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03.28125" style="0" customWidth="1"/>
  </cols>
  <sheetData>
    <row r="1" ht="26.25">
      <c r="A1" s="1" t="s">
        <v>71</v>
      </c>
    </row>
    <row r="2" spans="1:2" ht="15.75">
      <c r="A2" s="58" t="s">
        <v>72</v>
      </c>
      <c r="B2" s="2"/>
    </row>
    <row r="3" spans="1:2" ht="15.75">
      <c r="A3" s="58" t="s">
        <v>73</v>
      </c>
      <c r="B3" s="2"/>
    </row>
    <row r="4" spans="1:2" ht="15.75">
      <c r="A4" s="58" t="s">
        <v>74</v>
      </c>
      <c r="B4" s="2"/>
    </row>
    <row r="5" spans="1:2" ht="31.5">
      <c r="A5" s="70" t="s">
        <v>2</v>
      </c>
      <c r="B5" s="2"/>
    </row>
    <row r="6" spans="1:2" ht="15.75">
      <c r="A6" s="2"/>
      <c r="B6" s="2"/>
    </row>
    <row r="7" spans="1:2" ht="15.75">
      <c r="A7" s="61" t="s">
        <v>75</v>
      </c>
      <c r="B7" s="2"/>
    </row>
    <row r="8" spans="1:2" ht="15.75">
      <c r="A8" s="61" t="s">
        <v>3</v>
      </c>
      <c r="B8" s="2"/>
    </row>
    <row r="9" spans="1:2" ht="15.75">
      <c r="A9" s="61" t="s">
        <v>4</v>
      </c>
      <c r="B9" s="2"/>
    </row>
    <row r="10" spans="1:2" ht="15.75">
      <c r="A10" s="2"/>
      <c r="B10" s="2"/>
    </row>
    <row r="11" spans="1:2" ht="15.75">
      <c r="A11" s="58" t="s">
        <v>76</v>
      </c>
      <c r="B11" s="2"/>
    </row>
    <row r="12" spans="1:2" ht="15.75">
      <c r="A12" s="62" t="s">
        <v>77</v>
      </c>
      <c r="B12" s="2"/>
    </row>
    <row r="13" spans="1:2" ht="15.75">
      <c r="A13" s="59" t="s">
        <v>78</v>
      </c>
      <c r="B13" s="2"/>
    </row>
    <row r="14" spans="1:2" ht="15.75">
      <c r="A14" s="59" t="s">
        <v>79</v>
      </c>
      <c r="B14" s="2"/>
    </row>
    <row r="15" spans="1:2" ht="15.75">
      <c r="A15" s="59" t="s">
        <v>80</v>
      </c>
      <c r="B15" s="2"/>
    </row>
    <row r="16" spans="1:2" ht="15.75">
      <c r="A16" s="2"/>
      <c r="B16" s="2"/>
    </row>
    <row r="17" spans="1:2" ht="15.75">
      <c r="A17" s="63" t="s">
        <v>81</v>
      </c>
      <c r="B17" s="2"/>
    </row>
    <row r="18" ht="15.75">
      <c r="A18" s="60" t="s">
        <v>82</v>
      </c>
    </row>
    <row r="19" spans="1:2" ht="15.75">
      <c r="A19" s="64"/>
      <c r="B19" s="2"/>
    </row>
    <row r="20" spans="1:2" ht="18" customHeight="1">
      <c r="A20" s="66" t="s">
        <v>0</v>
      </c>
      <c r="B20" s="2"/>
    </row>
    <row r="21" spans="1:2" ht="15.75">
      <c r="A21" s="65" t="s">
        <v>83</v>
      </c>
      <c r="B21" s="2"/>
    </row>
    <row r="22" spans="1:2" ht="16.5" customHeight="1">
      <c r="A22" s="67" t="s">
        <v>1</v>
      </c>
      <c r="B22" s="2"/>
    </row>
    <row r="23" spans="1:2" ht="15.75">
      <c r="A23" s="65" t="s">
        <v>87</v>
      </c>
      <c r="B23" s="2"/>
    </row>
    <row r="24" spans="1:2" ht="31.5">
      <c r="A24" s="67" t="s">
        <v>86</v>
      </c>
      <c r="B24" s="2"/>
    </row>
    <row r="25" spans="1:2" ht="15.75">
      <c r="A25" s="68" t="s">
        <v>85</v>
      </c>
      <c r="B25" s="2"/>
    </row>
    <row r="26" spans="1:2" ht="15.75">
      <c r="A26" s="67"/>
      <c r="B26" s="2"/>
    </row>
    <row r="27" spans="1:2" ht="15.75">
      <c r="A27" s="64" t="s">
        <v>84</v>
      </c>
      <c r="B27" s="2"/>
    </row>
    <row r="28" spans="1:2" ht="31.5">
      <c r="A28" s="69" t="s">
        <v>88</v>
      </c>
      <c r="B28" s="2"/>
    </row>
    <row r="29" spans="1:2" ht="15.75">
      <c r="A29" s="64"/>
      <c r="B29" s="2"/>
    </row>
    <row r="30" spans="1:2" ht="31.5">
      <c r="A30" s="64" t="s">
        <v>89</v>
      </c>
      <c r="B30" s="2"/>
    </row>
    <row r="31" spans="1:2" ht="15.75">
      <c r="A31" s="60"/>
      <c r="B31" s="2"/>
    </row>
    <row r="32" spans="1:2" ht="15.75">
      <c r="A32" s="60" t="s">
        <v>5</v>
      </c>
      <c r="B32" s="2"/>
    </row>
    <row r="33" spans="1:2" ht="15.75">
      <c r="A33" s="60"/>
      <c r="B33" s="2"/>
    </row>
    <row r="34" spans="1:2" ht="15.75">
      <c r="A34" s="60" t="s">
        <v>6</v>
      </c>
      <c r="B34" s="2"/>
    </row>
    <row r="35" spans="1:2" ht="15.75">
      <c r="A35" s="60" t="s">
        <v>7</v>
      </c>
      <c r="B35" s="2"/>
    </row>
    <row r="36" spans="1:2" ht="15.75">
      <c r="A36" s="60"/>
      <c r="B36" s="2"/>
    </row>
    <row r="37" spans="1:2" ht="15.75">
      <c r="A37" s="60" t="s">
        <v>8</v>
      </c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B5" sqref="B5"/>
    </sheetView>
  </sheetViews>
  <sheetFormatPr defaultColWidth="8.8515625" defaultRowHeight="15"/>
  <cols>
    <col min="1" max="1" width="48.421875" style="2" bestFit="1" customWidth="1"/>
    <col min="2" max="2" width="13.00390625" style="2" bestFit="1" customWidth="1"/>
    <col min="3" max="7" width="14.140625" style="2" bestFit="1" customWidth="1"/>
    <col min="8" max="9" width="13.8515625" style="2" bestFit="1" customWidth="1"/>
    <col min="10" max="10" width="16.7109375" style="2" bestFit="1" customWidth="1"/>
    <col min="11" max="11" width="14.421875" style="2" bestFit="1" customWidth="1"/>
    <col min="12" max="12" width="16.140625" style="2" bestFit="1" customWidth="1"/>
    <col min="13" max="13" width="15.8515625" style="2" bestFit="1" customWidth="1"/>
    <col min="14" max="14" width="3.421875" style="2" customWidth="1"/>
    <col min="15" max="15" width="15.7109375" style="2" bestFit="1" customWidth="1"/>
    <col min="16" max="16" width="3.8515625" style="2" customWidth="1"/>
    <col min="17" max="17" width="11.140625" style="2" bestFit="1" customWidth="1"/>
    <col min="18" max="18" width="10.00390625" style="2" bestFit="1" customWidth="1"/>
    <col min="19" max="24" width="8.8515625" style="2" customWidth="1"/>
    <col min="25" max="25" width="12.00390625" style="2" bestFit="1" customWidth="1"/>
    <col min="26" max="26" width="10.421875" style="2" bestFit="1" customWidth="1"/>
    <col min="27" max="27" width="11.421875" style="2" bestFit="1" customWidth="1"/>
    <col min="28" max="28" width="10.421875" style="2" bestFit="1" customWidth="1"/>
  </cols>
  <sheetData>
    <row r="1" spans="1:28" ht="16.5" thickBot="1">
      <c r="A1" s="4" t="s">
        <v>9</v>
      </c>
      <c r="B1" s="5" t="s">
        <v>10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6" t="s">
        <v>16</v>
      </c>
      <c r="I1" s="6" t="s">
        <v>17</v>
      </c>
      <c r="J1" s="6" t="s">
        <v>18</v>
      </c>
      <c r="K1" s="6" t="s">
        <v>19</v>
      </c>
      <c r="L1" s="6" t="s">
        <v>20</v>
      </c>
      <c r="M1" s="6" t="s">
        <v>21</v>
      </c>
      <c r="N1" s="7"/>
      <c r="O1" s="8"/>
      <c r="P1" s="7"/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</row>
    <row r="2" spans="1:28" ht="16.5" thickBot="1">
      <c r="A2" s="10"/>
      <c r="B2" s="11" t="s">
        <v>22</v>
      </c>
      <c r="C2" s="12" t="s">
        <v>23</v>
      </c>
      <c r="D2" s="12" t="s">
        <v>24</v>
      </c>
      <c r="E2" s="12" t="s">
        <v>25</v>
      </c>
      <c r="F2" s="12" t="s">
        <v>26</v>
      </c>
      <c r="G2" s="12" t="s">
        <v>27</v>
      </c>
      <c r="H2" s="12" t="s">
        <v>28</v>
      </c>
      <c r="I2" s="12" t="s">
        <v>29</v>
      </c>
      <c r="J2" s="12" t="s">
        <v>30</v>
      </c>
      <c r="K2" s="12" t="s">
        <v>31</v>
      </c>
      <c r="L2" s="12" t="s">
        <v>32</v>
      </c>
      <c r="M2" s="13" t="s">
        <v>33</v>
      </c>
      <c r="N2" s="14"/>
      <c r="O2" s="15" t="s">
        <v>34</v>
      </c>
      <c r="P2" s="14"/>
      <c r="Q2" s="9" t="s">
        <v>10</v>
      </c>
      <c r="R2" s="9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16</v>
      </c>
      <c r="X2" s="9" t="s">
        <v>17</v>
      </c>
      <c r="Y2" s="9" t="s">
        <v>18</v>
      </c>
      <c r="Z2" s="9" t="s">
        <v>19</v>
      </c>
      <c r="AA2" s="9" t="s">
        <v>20</v>
      </c>
      <c r="AB2" s="9" t="s">
        <v>21</v>
      </c>
    </row>
    <row r="3" spans="1:28" ht="15.75">
      <c r="A3" s="16" t="s">
        <v>35</v>
      </c>
      <c r="B3" s="17">
        <v>71079</v>
      </c>
      <c r="C3" s="18">
        <v>70813.5</v>
      </c>
      <c r="D3" s="18">
        <v>84972.8</v>
      </c>
      <c r="E3" s="18">
        <v>45478.799999999996</v>
      </c>
      <c r="F3" s="18">
        <v>36410.4</v>
      </c>
      <c r="G3" s="18">
        <v>84923.20000000001</v>
      </c>
      <c r="H3" s="18">
        <v>57787.200000000004</v>
      </c>
      <c r="I3" s="18">
        <v>65759.4</v>
      </c>
      <c r="J3" s="18">
        <v>87158.75</v>
      </c>
      <c r="K3" s="18">
        <v>84502.25</v>
      </c>
      <c r="L3" s="18">
        <v>67361</v>
      </c>
      <c r="M3" s="19">
        <v>104781.6</v>
      </c>
      <c r="N3" s="20"/>
      <c r="O3" s="21">
        <f>SUM(B3:M3)</f>
        <v>861027.9</v>
      </c>
      <c r="P3" s="14"/>
      <c r="Q3" s="9">
        <v>1.5</v>
      </c>
      <c r="R3" s="9">
        <v>1.5</v>
      </c>
      <c r="S3" s="9">
        <v>1.6</v>
      </c>
      <c r="T3" s="9">
        <v>1.2</v>
      </c>
      <c r="U3" s="9">
        <v>1.2</v>
      </c>
      <c r="V3" s="9">
        <v>1.6</v>
      </c>
      <c r="W3" s="9">
        <v>1.6</v>
      </c>
      <c r="X3" s="9">
        <v>1.7</v>
      </c>
      <c r="Y3" s="9">
        <v>1.75</v>
      </c>
      <c r="Z3" s="9">
        <v>1.75</v>
      </c>
      <c r="AA3" s="9">
        <v>1.75</v>
      </c>
      <c r="AB3" s="9">
        <v>1.8</v>
      </c>
    </row>
    <row r="4" spans="1:28" ht="15.75">
      <c r="A4" s="16" t="s">
        <v>36</v>
      </c>
      <c r="B4" s="22">
        <f>100000/12</f>
        <v>8333.333333333334</v>
      </c>
      <c r="C4" s="23">
        <f aca="true" t="shared" si="0" ref="C4:M4">100000/12</f>
        <v>8333.333333333334</v>
      </c>
      <c r="D4" s="23">
        <f t="shared" si="0"/>
        <v>8333.333333333334</v>
      </c>
      <c r="E4" s="23">
        <f t="shared" si="0"/>
        <v>8333.333333333334</v>
      </c>
      <c r="F4" s="23">
        <f t="shared" si="0"/>
        <v>8333.333333333334</v>
      </c>
      <c r="G4" s="23">
        <f t="shared" si="0"/>
        <v>8333.333333333334</v>
      </c>
      <c r="H4" s="23">
        <f t="shared" si="0"/>
        <v>8333.333333333334</v>
      </c>
      <c r="I4" s="23">
        <f t="shared" si="0"/>
        <v>8333.333333333334</v>
      </c>
      <c r="J4" s="23">
        <f t="shared" si="0"/>
        <v>8333.333333333334</v>
      </c>
      <c r="K4" s="23">
        <f t="shared" si="0"/>
        <v>8333.333333333334</v>
      </c>
      <c r="L4" s="23">
        <f t="shared" si="0"/>
        <v>8333.333333333334</v>
      </c>
      <c r="M4" s="24">
        <f t="shared" si="0"/>
        <v>8333.333333333334</v>
      </c>
      <c r="N4" s="20"/>
      <c r="O4" s="21">
        <f>SUM(B4:M4)</f>
        <v>99999.99999999999</v>
      </c>
      <c r="P4" s="14"/>
      <c r="Q4" s="71" t="s">
        <v>70</v>
      </c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15.75">
      <c r="A5" s="16" t="s">
        <v>37</v>
      </c>
      <c r="B5" s="22">
        <f>25000/12</f>
        <v>2083.3333333333335</v>
      </c>
      <c r="C5" s="23">
        <f aca="true" t="shared" si="1" ref="C5:M5">25000/12</f>
        <v>2083.3333333333335</v>
      </c>
      <c r="D5" s="23">
        <f t="shared" si="1"/>
        <v>2083.3333333333335</v>
      </c>
      <c r="E5" s="23">
        <f t="shared" si="1"/>
        <v>2083.3333333333335</v>
      </c>
      <c r="F5" s="23">
        <f t="shared" si="1"/>
        <v>2083.3333333333335</v>
      </c>
      <c r="G5" s="23">
        <f t="shared" si="1"/>
        <v>2083.3333333333335</v>
      </c>
      <c r="H5" s="23">
        <f t="shared" si="1"/>
        <v>2083.3333333333335</v>
      </c>
      <c r="I5" s="23">
        <f t="shared" si="1"/>
        <v>2083.3333333333335</v>
      </c>
      <c r="J5" s="23">
        <f t="shared" si="1"/>
        <v>2083.3333333333335</v>
      </c>
      <c r="K5" s="23">
        <f t="shared" si="1"/>
        <v>2083.3333333333335</v>
      </c>
      <c r="L5" s="23">
        <f t="shared" si="1"/>
        <v>2083.3333333333335</v>
      </c>
      <c r="M5" s="24">
        <f t="shared" si="1"/>
        <v>2083.3333333333335</v>
      </c>
      <c r="N5" s="20"/>
      <c r="O5" s="21">
        <f>SUM(B5:M5)</f>
        <v>24999.999999999996</v>
      </c>
      <c r="P5" s="1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16" ht="16.5" thickBot="1">
      <c r="A6" s="25" t="s">
        <v>38</v>
      </c>
      <c r="B6" s="26">
        <v>0</v>
      </c>
      <c r="C6" s="27">
        <f>B37</f>
        <v>11929.375686447032</v>
      </c>
      <c r="D6" s="27">
        <f aca="true" t="shared" si="2" ref="D6:M6">C37</f>
        <v>23095.794373068624</v>
      </c>
      <c r="E6" s="27">
        <f t="shared" si="2"/>
        <v>42461.92801742852</v>
      </c>
      <c r="F6" s="27">
        <f t="shared" si="2"/>
        <v>38164.61535109397</v>
      </c>
      <c r="G6" s="27">
        <f t="shared" si="2"/>
        <v>26740.13460274953</v>
      </c>
      <c r="H6" s="27">
        <f t="shared" si="2"/>
        <v>47383.82511463951</v>
      </c>
      <c r="I6" s="27">
        <f t="shared" si="2"/>
        <v>48636.69218491977</v>
      </c>
      <c r="J6" s="27">
        <f t="shared" si="2"/>
        <v>54413.2597796081</v>
      </c>
      <c r="K6" s="27">
        <f t="shared" si="2"/>
        <v>74322.21742851243</v>
      </c>
      <c r="L6" s="27">
        <f t="shared" si="2"/>
        <v>92403.97834781604</v>
      </c>
      <c r="M6" s="28">
        <f t="shared" si="2"/>
        <v>98695.62598224526</v>
      </c>
      <c r="N6" s="20"/>
      <c r="O6" s="21"/>
      <c r="P6" s="14"/>
    </row>
    <row r="7" spans="1:16" ht="16.5" thickBot="1">
      <c r="A7" s="29" t="s">
        <v>39</v>
      </c>
      <c r="B7" s="30"/>
      <c r="C7" s="31"/>
      <c r="D7" s="32"/>
      <c r="E7" s="32"/>
      <c r="F7" s="32"/>
      <c r="G7" s="32"/>
      <c r="H7" s="32"/>
      <c r="I7" s="32"/>
      <c r="J7" s="32"/>
      <c r="K7" s="31"/>
      <c r="L7" s="32"/>
      <c r="M7" s="33"/>
      <c r="N7" s="34"/>
      <c r="O7" s="35"/>
      <c r="P7" s="14"/>
    </row>
    <row r="8" spans="1:16" ht="15.75">
      <c r="A8" s="36" t="s">
        <v>40</v>
      </c>
      <c r="B8" s="37">
        <f aca="true" t="shared" si="3" ref="B8:M8">(B3/$O$3)*(88422*Q3)</f>
        <v>10949.03081189355</v>
      </c>
      <c r="C8" s="38">
        <f t="shared" si="3"/>
        <v>10908.133111017656</v>
      </c>
      <c r="D8" s="38">
        <f t="shared" si="3"/>
        <v>13961.851729264525</v>
      </c>
      <c r="E8" s="38">
        <f t="shared" si="3"/>
        <v>5604.454564503658</v>
      </c>
      <c r="F8" s="38">
        <f t="shared" si="3"/>
        <v>4486.9352857903905</v>
      </c>
      <c r="G8" s="38">
        <f t="shared" si="3"/>
        <v>13953.701970214905</v>
      </c>
      <c r="H8" s="38">
        <f t="shared" si="3"/>
        <v>9494.995083713316</v>
      </c>
      <c r="I8" s="38">
        <f t="shared" si="3"/>
        <v>11480.211075111501</v>
      </c>
      <c r="J8" s="38">
        <f t="shared" si="3"/>
        <v>15663.620466740973</v>
      </c>
      <c r="K8" s="38">
        <f t="shared" si="3"/>
        <v>15186.211052655784</v>
      </c>
      <c r="L8" s="38">
        <f t="shared" si="3"/>
        <v>12105.693785880805</v>
      </c>
      <c r="M8" s="39">
        <f t="shared" si="3"/>
        <v>19368.707498746557</v>
      </c>
      <c r="N8" s="20"/>
      <c r="O8" s="40">
        <f aca="true" t="shared" si="4" ref="O8:O36">SUM(B8:M8)</f>
        <v>143163.54643553362</v>
      </c>
      <c r="P8" s="14"/>
    </row>
    <row r="9" spans="1:16" ht="15.75">
      <c r="A9" s="36" t="s">
        <v>41</v>
      </c>
      <c r="B9" s="41">
        <f aca="true" t="shared" si="5" ref="B9:M9">(B3/$O$3)*(12019*Q3)</f>
        <v>1488.2766882466874</v>
      </c>
      <c r="C9" s="42">
        <f t="shared" si="5"/>
        <v>1482.7175574101605</v>
      </c>
      <c r="D9" s="42">
        <f t="shared" si="5"/>
        <v>1897.802537083874</v>
      </c>
      <c r="E9" s="42">
        <f t="shared" si="5"/>
        <v>761.8006764240739</v>
      </c>
      <c r="F9" s="42">
        <f t="shared" si="5"/>
        <v>609.8988396543248</v>
      </c>
      <c r="G9" s="42">
        <f t="shared" si="5"/>
        <v>1896.694758996776</v>
      </c>
      <c r="H9" s="42">
        <f t="shared" si="5"/>
        <v>1290.6329410231656</v>
      </c>
      <c r="I9" s="42">
        <f t="shared" si="5"/>
        <v>1560.478805181574</v>
      </c>
      <c r="J9" s="42">
        <f t="shared" si="5"/>
        <v>2129.120065026348</v>
      </c>
      <c r="K9" s="42">
        <f t="shared" si="5"/>
        <v>2064.2268964948757</v>
      </c>
      <c r="L9" s="42">
        <f t="shared" si="5"/>
        <v>1645.4992378876454</v>
      </c>
      <c r="M9" s="43">
        <f t="shared" si="5"/>
        <v>2632.744061742947</v>
      </c>
      <c r="N9" s="20"/>
      <c r="O9" s="40">
        <f t="shared" si="4"/>
        <v>19459.89306517245</v>
      </c>
      <c r="P9" s="14"/>
    </row>
    <row r="10" spans="1:16" ht="15.75">
      <c r="A10" s="36" t="s">
        <v>42</v>
      </c>
      <c r="B10" s="41">
        <f aca="true" t="shared" si="6" ref="B10:M10">(B3/$O$3)*(53156*Q3)</f>
        <v>6582.1479025244125</v>
      </c>
      <c r="C10" s="42">
        <f t="shared" si="6"/>
        <v>6557.561734062276</v>
      </c>
      <c r="D10" s="42">
        <f t="shared" si="6"/>
        <v>8393.343178403395</v>
      </c>
      <c r="E10" s="42">
        <f t="shared" si="6"/>
        <v>3369.188514518519</v>
      </c>
      <c r="F10" s="42">
        <f t="shared" si="6"/>
        <v>2697.3777120114223</v>
      </c>
      <c r="G10" s="42">
        <f t="shared" si="6"/>
        <v>8388.443848010036</v>
      </c>
      <c r="H10" s="42">
        <f t="shared" si="6"/>
        <v>5708.035994094965</v>
      </c>
      <c r="I10" s="42">
        <f t="shared" si="6"/>
        <v>6901.473614130273</v>
      </c>
      <c r="J10" s="42">
        <f t="shared" si="6"/>
        <v>9416.382908440017</v>
      </c>
      <c r="K10" s="42">
        <f t="shared" si="6"/>
        <v>9129.382220657426</v>
      </c>
      <c r="L10" s="42">
        <f t="shared" si="6"/>
        <v>7277.490430914027</v>
      </c>
      <c r="M10" s="43">
        <f t="shared" si="6"/>
        <v>11643.74268624745</v>
      </c>
      <c r="N10" s="20"/>
      <c r="O10" s="40">
        <f t="shared" si="4"/>
        <v>86064.57074401421</v>
      </c>
      <c r="P10" s="14"/>
    </row>
    <row r="11" spans="1:16" ht="15.75">
      <c r="A11" s="36" t="s">
        <v>43</v>
      </c>
      <c r="B11" s="41">
        <f>32692/12</f>
        <v>2724.3333333333335</v>
      </c>
      <c r="C11" s="42">
        <f aca="true" t="shared" si="7" ref="C11:M11">32692/12</f>
        <v>2724.3333333333335</v>
      </c>
      <c r="D11" s="42">
        <f t="shared" si="7"/>
        <v>2724.3333333333335</v>
      </c>
      <c r="E11" s="42">
        <f t="shared" si="7"/>
        <v>2724.3333333333335</v>
      </c>
      <c r="F11" s="42">
        <f t="shared" si="7"/>
        <v>2724.3333333333335</v>
      </c>
      <c r="G11" s="42">
        <f t="shared" si="7"/>
        <v>2724.3333333333335</v>
      </c>
      <c r="H11" s="42">
        <f t="shared" si="7"/>
        <v>2724.3333333333335</v>
      </c>
      <c r="I11" s="42">
        <f t="shared" si="7"/>
        <v>2724.3333333333335</v>
      </c>
      <c r="J11" s="42">
        <f t="shared" si="7"/>
        <v>2724.3333333333335</v>
      </c>
      <c r="K11" s="42">
        <f t="shared" si="7"/>
        <v>2724.3333333333335</v>
      </c>
      <c r="L11" s="42">
        <f t="shared" si="7"/>
        <v>2724.3333333333335</v>
      </c>
      <c r="M11" s="43">
        <f t="shared" si="7"/>
        <v>2724.3333333333335</v>
      </c>
      <c r="N11" s="20"/>
      <c r="O11" s="40">
        <f t="shared" si="4"/>
        <v>32691.999999999996</v>
      </c>
      <c r="P11" s="14"/>
    </row>
    <row r="12" spans="1:16" ht="15.75">
      <c r="A12" s="16" t="s">
        <v>44</v>
      </c>
      <c r="B12" s="22">
        <f>(194051/12)*1.4</f>
        <v>22639.283333333333</v>
      </c>
      <c r="C12" s="23">
        <f aca="true" t="shared" si="8" ref="C12:M12">(194051/12)*1.4</f>
        <v>22639.283333333333</v>
      </c>
      <c r="D12" s="23">
        <f t="shared" si="8"/>
        <v>22639.283333333333</v>
      </c>
      <c r="E12" s="23">
        <f t="shared" si="8"/>
        <v>22639.283333333333</v>
      </c>
      <c r="F12" s="23">
        <f t="shared" si="8"/>
        <v>22639.283333333333</v>
      </c>
      <c r="G12" s="23">
        <f t="shared" si="8"/>
        <v>22639.283333333333</v>
      </c>
      <c r="H12" s="23">
        <f t="shared" si="8"/>
        <v>22639.283333333333</v>
      </c>
      <c r="I12" s="23">
        <f t="shared" si="8"/>
        <v>22639.283333333333</v>
      </c>
      <c r="J12" s="23">
        <f t="shared" si="8"/>
        <v>22639.283333333333</v>
      </c>
      <c r="K12" s="23">
        <f t="shared" si="8"/>
        <v>22639.283333333333</v>
      </c>
      <c r="L12" s="23">
        <f t="shared" si="8"/>
        <v>22639.283333333333</v>
      </c>
      <c r="M12" s="24">
        <f t="shared" si="8"/>
        <v>22639.283333333333</v>
      </c>
      <c r="N12" s="20"/>
      <c r="O12" s="40">
        <f t="shared" si="4"/>
        <v>271671.39999999997</v>
      </c>
      <c r="P12" s="14"/>
    </row>
    <row r="13" spans="1:16" ht="15.75">
      <c r="A13" s="16" t="s">
        <v>45</v>
      </c>
      <c r="B13" s="22">
        <f>(20052/12)*1.4</f>
        <v>2339.3999999999996</v>
      </c>
      <c r="C13" s="23">
        <f aca="true" t="shared" si="9" ref="C13:M13">(20052/12)*1.4</f>
        <v>2339.3999999999996</v>
      </c>
      <c r="D13" s="23">
        <f t="shared" si="9"/>
        <v>2339.3999999999996</v>
      </c>
      <c r="E13" s="23">
        <f t="shared" si="9"/>
        <v>2339.3999999999996</v>
      </c>
      <c r="F13" s="23">
        <f t="shared" si="9"/>
        <v>2339.3999999999996</v>
      </c>
      <c r="G13" s="23">
        <f t="shared" si="9"/>
        <v>2339.3999999999996</v>
      </c>
      <c r="H13" s="23">
        <f t="shared" si="9"/>
        <v>2339.3999999999996</v>
      </c>
      <c r="I13" s="23">
        <f t="shared" si="9"/>
        <v>2339.3999999999996</v>
      </c>
      <c r="J13" s="23">
        <f t="shared" si="9"/>
        <v>2339.3999999999996</v>
      </c>
      <c r="K13" s="23">
        <f t="shared" si="9"/>
        <v>2339.3999999999996</v>
      </c>
      <c r="L13" s="23">
        <f t="shared" si="9"/>
        <v>2339.3999999999996</v>
      </c>
      <c r="M13" s="24">
        <f t="shared" si="9"/>
        <v>2339.3999999999996</v>
      </c>
      <c r="N13" s="20"/>
      <c r="O13" s="40">
        <f t="shared" si="4"/>
        <v>28072.800000000003</v>
      </c>
      <c r="P13" s="14"/>
    </row>
    <row r="14" spans="1:16" ht="15.75">
      <c r="A14" s="16" t="s">
        <v>46</v>
      </c>
      <c r="B14" s="22">
        <v>470.8333333333333</v>
      </c>
      <c r="C14" s="23">
        <v>470.8333333333333</v>
      </c>
      <c r="D14" s="23">
        <v>470.8333333333333</v>
      </c>
      <c r="E14" s="23">
        <v>470.8333333333333</v>
      </c>
      <c r="F14" s="23">
        <v>470.8333333333333</v>
      </c>
      <c r="G14" s="23">
        <v>470.8333333333333</v>
      </c>
      <c r="H14" s="23">
        <v>470.8333333333333</v>
      </c>
      <c r="I14" s="23">
        <v>470.8333333333333</v>
      </c>
      <c r="J14" s="23">
        <v>470.8333333333333</v>
      </c>
      <c r="K14" s="23">
        <v>470.8333333333333</v>
      </c>
      <c r="L14" s="23">
        <v>470.8333333333333</v>
      </c>
      <c r="M14" s="24">
        <v>470.8333333333333</v>
      </c>
      <c r="N14" s="20"/>
      <c r="O14" s="40">
        <f t="shared" si="4"/>
        <v>5649.999999999999</v>
      </c>
      <c r="P14" s="14"/>
    </row>
    <row r="15" spans="1:16" ht="15.75">
      <c r="A15" s="16" t="s">
        <v>47</v>
      </c>
      <c r="B15" s="22">
        <f>884/12</f>
        <v>73.66666666666667</v>
      </c>
      <c r="C15" s="23">
        <f aca="true" t="shared" si="10" ref="C15:M15">884/12</f>
        <v>73.66666666666667</v>
      </c>
      <c r="D15" s="23">
        <f t="shared" si="10"/>
        <v>73.66666666666667</v>
      </c>
      <c r="E15" s="23">
        <f t="shared" si="10"/>
        <v>73.66666666666667</v>
      </c>
      <c r="F15" s="23">
        <f t="shared" si="10"/>
        <v>73.66666666666667</v>
      </c>
      <c r="G15" s="23">
        <f t="shared" si="10"/>
        <v>73.66666666666667</v>
      </c>
      <c r="H15" s="23">
        <f t="shared" si="10"/>
        <v>73.66666666666667</v>
      </c>
      <c r="I15" s="23">
        <f t="shared" si="10"/>
        <v>73.66666666666667</v>
      </c>
      <c r="J15" s="23">
        <f t="shared" si="10"/>
        <v>73.66666666666667</v>
      </c>
      <c r="K15" s="23">
        <f t="shared" si="10"/>
        <v>73.66666666666667</v>
      </c>
      <c r="L15" s="23">
        <f t="shared" si="10"/>
        <v>73.66666666666667</v>
      </c>
      <c r="M15" s="24">
        <f t="shared" si="10"/>
        <v>73.66666666666667</v>
      </c>
      <c r="N15" s="20"/>
      <c r="O15" s="40">
        <f t="shared" si="4"/>
        <v>883.9999999999999</v>
      </c>
      <c r="P15" s="14"/>
    </row>
    <row r="16" spans="1:16" ht="15.75">
      <c r="A16" s="16" t="s">
        <v>48</v>
      </c>
      <c r="B16" s="22">
        <v>9196.383333333333</v>
      </c>
      <c r="C16" s="23">
        <v>9178.748550343798</v>
      </c>
      <c r="D16" s="23">
        <v>9161.018245613073</v>
      </c>
      <c r="E16" s="23">
        <v>9143.19190173172</v>
      </c>
      <c r="F16" s="23">
        <v>9125.268998487678</v>
      </c>
      <c r="G16" s="23">
        <v>9107.249012851064</v>
      </c>
      <c r="H16" s="23">
        <v>9089.131418958917</v>
      </c>
      <c r="I16" s="23">
        <v>9070.915688099856</v>
      </c>
      <c r="J16" s="23">
        <v>9052.601288698641</v>
      </c>
      <c r="K16" s="23">
        <v>9034.18768630067</v>
      </c>
      <c r="L16" s="23">
        <v>9015.674343556375</v>
      </c>
      <c r="M16" s="24">
        <v>8997.060720205549</v>
      </c>
      <c r="N16" s="20"/>
      <c r="O16" s="40">
        <f t="shared" si="4"/>
        <v>109171.43118818068</v>
      </c>
      <c r="P16" s="14"/>
    </row>
    <row r="17" spans="1:16" ht="15.75">
      <c r="A17" s="16" t="s">
        <v>49</v>
      </c>
      <c r="B17" s="22">
        <f>1304/12</f>
        <v>108.66666666666667</v>
      </c>
      <c r="C17" s="23">
        <f aca="true" t="shared" si="11" ref="C17:M17">1304/12</f>
        <v>108.66666666666667</v>
      </c>
      <c r="D17" s="23">
        <f t="shared" si="11"/>
        <v>108.66666666666667</v>
      </c>
      <c r="E17" s="23">
        <f t="shared" si="11"/>
        <v>108.66666666666667</v>
      </c>
      <c r="F17" s="23">
        <f t="shared" si="11"/>
        <v>108.66666666666667</v>
      </c>
      <c r="G17" s="23">
        <f t="shared" si="11"/>
        <v>108.66666666666667</v>
      </c>
      <c r="H17" s="23">
        <f t="shared" si="11"/>
        <v>108.66666666666667</v>
      </c>
      <c r="I17" s="23">
        <f t="shared" si="11"/>
        <v>108.66666666666667</v>
      </c>
      <c r="J17" s="23">
        <f t="shared" si="11"/>
        <v>108.66666666666667</v>
      </c>
      <c r="K17" s="23">
        <f t="shared" si="11"/>
        <v>108.66666666666667</v>
      </c>
      <c r="L17" s="23">
        <f t="shared" si="11"/>
        <v>108.66666666666667</v>
      </c>
      <c r="M17" s="24">
        <f t="shared" si="11"/>
        <v>108.66666666666667</v>
      </c>
      <c r="N17" s="20"/>
      <c r="O17" s="40">
        <f t="shared" si="4"/>
        <v>1304</v>
      </c>
      <c r="P17" s="14"/>
    </row>
    <row r="18" spans="1:16" ht="15.75">
      <c r="A18" s="16" t="s">
        <v>50</v>
      </c>
      <c r="B18" s="22">
        <f>2453/12</f>
        <v>204.41666666666666</v>
      </c>
      <c r="C18" s="23">
        <f aca="true" t="shared" si="12" ref="C18:M18">2453/12</f>
        <v>204.41666666666666</v>
      </c>
      <c r="D18" s="23">
        <f t="shared" si="12"/>
        <v>204.41666666666666</v>
      </c>
      <c r="E18" s="23">
        <f t="shared" si="12"/>
        <v>204.41666666666666</v>
      </c>
      <c r="F18" s="23">
        <f t="shared" si="12"/>
        <v>204.41666666666666</v>
      </c>
      <c r="G18" s="23">
        <f t="shared" si="12"/>
        <v>204.41666666666666</v>
      </c>
      <c r="H18" s="23">
        <f t="shared" si="12"/>
        <v>204.41666666666666</v>
      </c>
      <c r="I18" s="23">
        <f t="shared" si="12"/>
        <v>204.41666666666666</v>
      </c>
      <c r="J18" s="23">
        <f t="shared" si="12"/>
        <v>204.41666666666666</v>
      </c>
      <c r="K18" s="23">
        <f t="shared" si="12"/>
        <v>204.41666666666666</v>
      </c>
      <c r="L18" s="23">
        <f t="shared" si="12"/>
        <v>204.41666666666666</v>
      </c>
      <c r="M18" s="24">
        <f t="shared" si="12"/>
        <v>204.41666666666666</v>
      </c>
      <c r="N18" s="20"/>
      <c r="O18" s="40">
        <f t="shared" si="4"/>
        <v>2453</v>
      </c>
      <c r="P18" s="14"/>
    </row>
    <row r="19" spans="1:16" ht="15.75">
      <c r="A19" s="16" t="s">
        <v>51</v>
      </c>
      <c r="B19" s="22">
        <v>89.5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0"/>
      <c r="O19" s="40">
        <f t="shared" si="4"/>
        <v>89.5</v>
      </c>
      <c r="P19" s="14"/>
    </row>
    <row r="20" spans="1:16" ht="15.75">
      <c r="A20" s="16" t="s">
        <v>52</v>
      </c>
      <c r="B20" s="22">
        <v>0</v>
      </c>
      <c r="C20" s="23">
        <v>0</v>
      </c>
      <c r="D20" s="23">
        <v>1313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0"/>
      <c r="O20" s="40">
        <f t="shared" si="4"/>
        <v>1313</v>
      </c>
      <c r="P20" s="14"/>
    </row>
    <row r="21" spans="1:16" ht="15.75">
      <c r="A21" s="16" t="s">
        <v>53</v>
      </c>
      <c r="B21" s="22">
        <v>291.75</v>
      </c>
      <c r="C21" s="23">
        <v>291.75</v>
      </c>
      <c r="D21" s="23">
        <v>291.75</v>
      </c>
      <c r="E21" s="23">
        <v>291.75</v>
      </c>
      <c r="F21" s="23">
        <v>291.75</v>
      </c>
      <c r="G21" s="23">
        <v>291.75</v>
      </c>
      <c r="H21" s="23">
        <v>291.75</v>
      </c>
      <c r="I21" s="23">
        <v>291.75</v>
      </c>
      <c r="J21" s="23">
        <v>291.75</v>
      </c>
      <c r="K21" s="23">
        <v>291.75</v>
      </c>
      <c r="L21" s="23">
        <v>291.75</v>
      </c>
      <c r="M21" s="24">
        <v>291.75</v>
      </c>
      <c r="N21" s="20"/>
      <c r="O21" s="40">
        <f t="shared" si="4"/>
        <v>3501</v>
      </c>
      <c r="P21" s="14"/>
    </row>
    <row r="22" spans="1:16" ht="15.75">
      <c r="A22" s="16" t="s">
        <v>54</v>
      </c>
      <c r="B22" s="22">
        <f>2087/12</f>
        <v>173.91666666666666</v>
      </c>
      <c r="C22" s="23">
        <f aca="true" t="shared" si="13" ref="C22:M22">2087/12</f>
        <v>173.91666666666666</v>
      </c>
      <c r="D22" s="23">
        <f t="shared" si="13"/>
        <v>173.91666666666666</v>
      </c>
      <c r="E22" s="23">
        <f t="shared" si="13"/>
        <v>173.91666666666666</v>
      </c>
      <c r="F22" s="23">
        <f t="shared" si="13"/>
        <v>173.91666666666666</v>
      </c>
      <c r="G22" s="23">
        <f t="shared" si="13"/>
        <v>173.91666666666666</v>
      </c>
      <c r="H22" s="23">
        <f t="shared" si="13"/>
        <v>173.91666666666666</v>
      </c>
      <c r="I22" s="23">
        <f t="shared" si="13"/>
        <v>173.91666666666666</v>
      </c>
      <c r="J22" s="23">
        <f t="shared" si="13"/>
        <v>173.91666666666666</v>
      </c>
      <c r="K22" s="23">
        <f t="shared" si="13"/>
        <v>173.91666666666666</v>
      </c>
      <c r="L22" s="23">
        <f t="shared" si="13"/>
        <v>173.91666666666666</v>
      </c>
      <c r="M22" s="24">
        <f t="shared" si="13"/>
        <v>173.91666666666666</v>
      </c>
      <c r="N22" s="20"/>
      <c r="O22" s="40">
        <f t="shared" si="4"/>
        <v>2087.0000000000005</v>
      </c>
      <c r="P22" s="14"/>
    </row>
    <row r="23" spans="1:16" ht="15.75">
      <c r="A23" s="16" t="s">
        <v>55</v>
      </c>
      <c r="B23" s="22">
        <f>834/12</f>
        <v>69.5</v>
      </c>
      <c r="C23" s="23">
        <f aca="true" t="shared" si="14" ref="C23:M23">834/12</f>
        <v>69.5</v>
      </c>
      <c r="D23" s="23">
        <f t="shared" si="14"/>
        <v>69.5</v>
      </c>
      <c r="E23" s="23">
        <f t="shared" si="14"/>
        <v>69.5</v>
      </c>
      <c r="F23" s="23">
        <f t="shared" si="14"/>
        <v>69.5</v>
      </c>
      <c r="G23" s="23">
        <f t="shared" si="14"/>
        <v>69.5</v>
      </c>
      <c r="H23" s="23">
        <f t="shared" si="14"/>
        <v>69.5</v>
      </c>
      <c r="I23" s="23">
        <f t="shared" si="14"/>
        <v>69.5</v>
      </c>
      <c r="J23" s="23">
        <f t="shared" si="14"/>
        <v>69.5</v>
      </c>
      <c r="K23" s="23">
        <f t="shared" si="14"/>
        <v>69.5</v>
      </c>
      <c r="L23" s="23">
        <f t="shared" si="14"/>
        <v>69.5</v>
      </c>
      <c r="M23" s="24">
        <f t="shared" si="14"/>
        <v>69.5</v>
      </c>
      <c r="N23" s="20"/>
      <c r="O23" s="40">
        <f t="shared" si="4"/>
        <v>834</v>
      </c>
      <c r="P23" s="14"/>
    </row>
    <row r="24" spans="1:16" ht="15.75">
      <c r="A24" s="16" t="s">
        <v>56</v>
      </c>
      <c r="B24" s="22">
        <f>6713/12</f>
        <v>559.4166666666666</v>
      </c>
      <c r="C24" s="23">
        <f aca="true" t="shared" si="15" ref="C24:M24">6713/12</f>
        <v>559.4166666666666</v>
      </c>
      <c r="D24" s="23">
        <f t="shared" si="15"/>
        <v>559.4166666666666</v>
      </c>
      <c r="E24" s="23">
        <f t="shared" si="15"/>
        <v>559.4166666666666</v>
      </c>
      <c r="F24" s="23">
        <f t="shared" si="15"/>
        <v>559.4166666666666</v>
      </c>
      <c r="G24" s="23">
        <f t="shared" si="15"/>
        <v>559.4166666666666</v>
      </c>
      <c r="H24" s="23">
        <f t="shared" si="15"/>
        <v>559.4166666666666</v>
      </c>
      <c r="I24" s="23">
        <f t="shared" si="15"/>
        <v>559.4166666666666</v>
      </c>
      <c r="J24" s="23">
        <f t="shared" si="15"/>
        <v>559.4166666666666</v>
      </c>
      <c r="K24" s="23">
        <f t="shared" si="15"/>
        <v>559.4166666666666</v>
      </c>
      <c r="L24" s="23">
        <f t="shared" si="15"/>
        <v>559.4166666666666</v>
      </c>
      <c r="M24" s="24">
        <f t="shared" si="15"/>
        <v>559.4166666666666</v>
      </c>
      <c r="N24" s="20"/>
      <c r="O24" s="40">
        <f t="shared" si="4"/>
        <v>6713.000000000001</v>
      </c>
      <c r="P24" s="14"/>
    </row>
    <row r="25" spans="1:16" ht="15.75">
      <c r="A25" s="16" t="s">
        <v>57</v>
      </c>
      <c r="B25" s="22">
        <f>5067/12</f>
        <v>422.25</v>
      </c>
      <c r="C25" s="23">
        <f aca="true" t="shared" si="16" ref="C25:M25">5067/12</f>
        <v>422.25</v>
      </c>
      <c r="D25" s="23">
        <f t="shared" si="16"/>
        <v>422.25</v>
      </c>
      <c r="E25" s="23">
        <f t="shared" si="16"/>
        <v>422.25</v>
      </c>
      <c r="F25" s="23">
        <f t="shared" si="16"/>
        <v>422.25</v>
      </c>
      <c r="G25" s="23">
        <f t="shared" si="16"/>
        <v>422.25</v>
      </c>
      <c r="H25" s="23">
        <f t="shared" si="16"/>
        <v>422.25</v>
      </c>
      <c r="I25" s="23">
        <f t="shared" si="16"/>
        <v>422.25</v>
      </c>
      <c r="J25" s="23">
        <f t="shared" si="16"/>
        <v>422.25</v>
      </c>
      <c r="K25" s="23">
        <f t="shared" si="16"/>
        <v>422.25</v>
      </c>
      <c r="L25" s="23">
        <f t="shared" si="16"/>
        <v>422.25</v>
      </c>
      <c r="M25" s="24">
        <f t="shared" si="16"/>
        <v>422.25</v>
      </c>
      <c r="N25" s="20"/>
      <c r="O25" s="40">
        <f t="shared" si="4"/>
        <v>5067</v>
      </c>
      <c r="P25" s="14"/>
    </row>
    <row r="26" spans="1:16" ht="15.75">
      <c r="A26" s="16" t="s">
        <v>58</v>
      </c>
      <c r="B26" s="22">
        <f>1990.41666666667*1.4</f>
        <v>2786.5833333333376</v>
      </c>
      <c r="C26" s="23">
        <f aca="true" t="shared" si="17" ref="C26:M26">1990.41666666667*1.4</f>
        <v>2786.5833333333376</v>
      </c>
      <c r="D26" s="23">
        <f t="shared" si="17"/>
        <v>2786.5833333333376</v>
      </c>
      <c r="E26" s="23">
        <f t="shared" si="17"/>
        <v>2786.5833333333376</v>
      </c>
      <c r="F26" s="23">
        <f t="shared" si="17"/>
        <v>2786.5833333333376</v>
      </c>
      <c r="G26" s="23">
        <f t="shared" si="17"/>
        <v>2786.5833333333376</v>
      </c>
      <c r="H26" s="23">
        <f t="shared" si="17"/>
        <v>2786.5833333333376</v>
      </c>
      <c r="I26" s="23">
        <f t="shared" si="17"/>
        <v>2786.5833333333376</v>
      </c>
      <c r="J26" s="23">
        <f t="shared" si="17"/>
        <v>2786.5833333333376</v>
      </c>
      <c r="K26" s="23">
        <f t="shared" si="17"/>
        <v>2786.5833333333376</v>
      </c>
      <c r="L26" s="23">
        <f t="shared" si="17"/>
        <v>2786.5833333333376</v>
      </c>
      <c r="M26" s="24">
        <f t="shared" si="17"/>
        <v>2786.5833333333376</v>
      </c>
      <c r="N26" s="20"/>
      <c r="O26" s="40">
        <f t="shared" si="4"/>
        <v>33439.000000000044</v>
      </c>
      <c r="P26" s="14"/>
    </row>
    <row r="27" spans="1:16" ht="15.75">
      <c r="A27" s="16" t="s">
        <v>59</v>
      </c>
      <c r="B27" s="22">
        <f>(12509/12)*1.5</f>
        <v>1563.625</v>
      </c>
      <c r="C27" s="23">
        <f aca="true" t="shared" si="18" ref="C27:M27">(12509/12)*1.5</f>
        <v>1563.625</v>
      </c>
      <c r="D27" s="23">
        <f t="shared" si="18"/>
        <v>1563.625</v>
      </c>
      <c r="E27" s="23">
        <f t="shared" si="18"/>
        <v>1563.625</v>
      </c>
      <c r="F27" s="23">
        <f t="shared" si="18"/>
        <v>1563.625</v>
      </c>
      <c r="G27" s="23">
        <f t="shared" si="18"/>
        <v>1563.625</v>
      </c>
      <c r="H27" s="23">
        <f t="shared" si="18"/>
        <v>1563.625</v>
      </c>
      <c r="I27" s="23">
        <f t="shared" si="18"/>
        <v>1563.625</v>
      </c>
      <c r="J27" s="23">
        <f t="shared" si="18"/>
        <v>1563.625</v>
      </c>
      <c r="K27" s="23">
        <f t="shared" si="18"/>
        <v>1563.625</v>
      </c>
      <c r="L27" s="23">
        <f t="shared" si="18"/>
        <v>1563.625</v>
      </c>
      <c r="M27" s="24">
        <f t="shared" si="18"/>
        <v>1563.625</v>
      </c>
      <c r="N27" s="20"/>
      <c r="O27" s="40">
        <f t="shared" si="4"/>
        <v>18763.5</v>
      </c>
      <c r="P27" s="14"/>
    </row>
    <row r="28" spans="1:16" ht="15.75">
      <c r="A28" s="16" t="s">
        <v>60</v>
      </c>
      <c r="B28" s="22">
        <f>3900/12</f>
        <v>325</v>
      </c>
      <c r="C28" s="23">
        <f aca="true" t="shared" si="19" ref="C28:M28">3900/12</f>
        <v>325</v>
      </c>
      <c r="D28" s="23">
        <f t="shared" si="19"/>
        <v>325</v>
      </c>
      <c r="E28" s="23">
        <f t="shared" si="19"/>
        <v>325</v>
      </c>
      <c r="F28" s="23">
        <f t="shared" si="19"/>
        <v>325</v>
      </c>
      <c r="G28" s="23">
        <f t="shared" si="19"/>
        <v>325</v>
      </c>
      <c r="H28" s="23">
        <f t="shared" si="19"/>
        <v>325</v>
      </c>
      <c r="I28" s="23">
        <f t="shared" si="19"/>
        <v>325</v>
      </c>
      <c r="J28" s="23">
        <f t="shared" si="19"/>
        <v>325</v>
      </c>
      <c r="K28" s="23">
        <f t="shared" si="19"/>
        <v>325</v>
      </c>
      <c r="L28" s="23">
        <f t="shared" si="19"/>
        <v>325</v>
      </c>
      <c r="M28" s="24">
        <f t="shared" si="19"/>
        <v>325</v>
      </c>
      <c r="N28" s="20"/>
      <c r="O28" s="40">
        <f t="shared" si="4"/>
        <v>3900</v>
      </c>
      <c r="P28" s="14"/>
    </row>
    <row r="29" spans="1:16" ht="15.75">
      <c r="A29" s="16" t="s">
        <v>61</v>
      </c>
      <c r="B29" s="22">
        <v>0</v>
      </c>
      <c r="C29" s="23">
        <v>658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4">
        <v>0</v>
      </c>
      <c r="N29" s="20"/>
      <c r="O29" s="40">
        <f t="shared" si="4"/>
        <v>658</v>
      </c>
      <c r="P29" s="14"/>
    </row>
    <row r="30" spans="1:16" ht="15.75">
      <c r="A30" s="16" t="s">
        <v>62</v>
      </c>
      <c r="B30" s="22">
        <v>750.9166666666666</v>
      </c>
      <c r="C30" s="23">
        <v>750.9166666666666</v>
      </c>
      <c r="D30" s="23">
        <v>750.9166666666666</v>
      </c>
      <c r="E30" s="23">
        <v>750.9166666666666</v>
      </c>
      <c r="F30" s="23">
        <v>750.9166666666666</v>
      </c>
      <c r="G30" s="23">
        <v>750.9166666666666</v>
      </c>
      <c r="H30" s="23">
        <v>750.9166666666666</v>
      </c>
      <c r="I30" s="23">
        <v>750.9166666666666</v>
      </c>
      <c r="J30" s="23">
        <v>750.9166666666666</v>
      </c>
      <c r="K30" s="23">
        <v>750.9166666666666</v>
      </c>
      <c r="L30" s="23">
        <v>750.9166666666666</v>
      </c>
      <c r="M30" s="24">
        <v>750.9166666666666</v>
      </c>
      <c r="N30" s="20"/>
      <c r="O30" s="40">
        <f t="shared" si="4"/>
        <v>9011</v>
      </c>
      <c r="P30" s="14"/>
    </row>
    <row r="31" spans="1:16" ht="15.75">
      <c r="A31" s="16" t="s">
        <v>63</v>
      </c>
      <c r="B31" s="22">
        <f>8224/12</f>
        <v>685.3333333333334</v>
      </c>
      <c r="C31" s="23">
        <f aca="true" t="shared" si="20" ref="C31:M31">8224/12</f>
        <v>685.3333333333334</v>
      </c>
      <c r="D31" s="23">
        <f t="shared" si="20"/>
        <v>685.3333333333334</v>
      </c>
      <c r="E31" s="23">
        <f t="shared" si="20"/>
        <v>685.3333333333334</v>
      </c>
      <c r="F31" s="23">
        <f t="shared" si="20"/>
        <v>685.3333333333334</v>
      </c>
      <c r="G31" s="23">
        <f t="shared" si="20"/>
        <v>685.3333333333334</v>
      </c>
      <c r="H31" s="23">
        <f t="shared" si="20"/>
        <v>685.3333333333334</v>
      </c>
      <c r="I31" s="23">
        <f t="shared" si="20"/>
        <v>685.3333333333334</v>
      </c>
      <c r="J31" s="23">
        <f t="shared" si="20"/>
        <v>685.3333333333334</v>
      </c>
      <c r="K31" s="23">
        <f t="shared" si="20"/>
        <v>685.3333333333334</v>
      </c>
      <c r="L31" s="23">
        <f t="shared" si="20"/>
        <v>685.3333333333334</v>
      </c>
      <c r="M31" s="24">
        <f t="shared" si="20"/>
        <v>685.3333333333334</v>
      </c>
      <c r="N31" s="20"/>
      <c r="O31" s="40">
        <f t="shared" si="4"/>
        <v>8223.999999999998</v>
      </c>
      <c r="P31" s="14"/>
    </row>
    <row r="32" spans="1:16" ht="16.5" thickBot="1">
      <c r="A32" s="16" t="s">
        <v>64</v>
      </c>
      <c r="B32" s="44">
        <f>11013/12</f>
        <v>917.75</v>
      </c>
      <c r="C32" s="45">
        <f aca="true" t="shared" si="21" ref="C32:M32">11013/12</f>
        <v>917.75</v>
      </c>
      <c r="D32" s="45">
        <f t="shared" si="21"/>
        <v>917.75</v>
      </c>
      <c r="E32" s="45">
        <f t="shared" si="21"/>
        <v>917.75</v>
      </c>
      <c r="F32" s="45">
        <f t="shared" si="21"/>
        <v>917.75</v>
      </c>
      <c r="G32" s="45">
        <f t="shared" si="21"/>
        <v>917.75</v>
      </c>
      <c r="H32" s="45">
        <f t="shared" si="21"/>
        <v>917.75</v>
      </c>
      <c r="I32" s="45">
        <f t="shared" si="21"/>
        <v>917.75</v>
      </c>
      <c r="J32" s="45">
        <f t="shared" si="21"/>
        <v>917.75</v>
      </c>
      <c r="K32" s="45">
        <f t="shared" si="21"/>
        <v>917.75</v>
      </c>
      <c r="L32" s="45">
        <f t="shared" si="21"/>
        <v>917.75</v>
      </c>
      <c r="M32" s="46">
        <f t="shared" si="21"/>
        <v>917.75</v>
      </c>
      <c r="N32" s="20"/>
      <c r="O32" s="40">
        <f t="shared" si="4"/>
        <v>11013</v>
      </c>
      <c r="P32" s="14"/>
    </row>
    <row r="33" spans="1:16" ht="16.5" thickBot="1">
      <c r="A33" s="47" t="s">
        <v>65</v>
      </c>
      <c r="B33" s="48">
        <f>SUM(B8:B32)</f>
        <v>65411.980402664645</v>
      </c>
      <c r="C33" s="48">
        <f aca="true" t="shared" si="22" ref="C33:M33">SUM(C8:C32)</f>
        <v>65891.80261950055</v>
      </c>
      <c r="D33" s="48">
        <f t="shared" si="22"/>
        <v>71833.65735703152</v>
      </c>
      <c r="E33" s="48">
        <f t="shared" si="22"/>
        <v>55985.27732384463</v>
      </c>
      <c r="F33" s="48">
        <f t="shared" si="22"/>
        <v>54026.12250261048</v>
      </c>
      <c r="G33" s="48">
        <f t="shared" si="22"/>
        <v>70452.73125673944</v>
      </c>
      <c r="H33" s="48">
        <f t="shared" si="22"/>
        <v>62689.43710445702</v>
      </c>
      <c r="I33" s="48">
        <f t="shared" si="22"/>
        <v>66119.72084918986</v>
      </c>
      <c r="J33" s="48">
        <f t="shared" si="22"/>
        <v>73368.36639557265</v>
      </c>
      <c r="K33" s="48">
        <f t="shared" si="22"/>
        <v>72520.64952277542</v>
      </c>
      <c r="L33" s="48">
        <f t="shared" si="22"/>
        <v>67150.9994649055</v>
      </c>
      <c r="M33" s="49">
        <f t="shared" si="22"/>
        <v>79748.8966336092</v>
      </c>
      <c r="N33" s="34"/>
      <c r="O33" s="50">
        <f t="shared" si="4"/>
        <v>805199.6414329009</v>
      </c>
      <c r="P33" s="14"/>
    </row>
    <row r="34" spans="1:16" ht="15.75">
      <c r="A34" s="51" t="s">
        <v>66</v>
      </c>
      <c r="B34" s="18">
        <v>4121.568910888312</v>
      </c>
      <c r="C34" s="18">
        <v>4139.2036938778465</v>
      </c>
      <c r="D34" s="18">
        <v>4156.9339986085715</v>
      </c>
      <c r="E34" s="18">
        <v>4174.760342489925</v>
      </c>
      <c r="F34" s="18">
        <v>4192.683245733967</v>
      </c>
      <c r="G34" s="18">
        <v>4210.703231370581</v>
      </c>
      <c r="H34" s="18">
        <v>4228.820825262727</v>
      </c>
      <c r="I34" s="18">
        <v>4247.036556121789</v>
      </c>
      <c r="J34" s="18">
        <v>4265.350955523004</v>
      </c>
      <c r="K34" s="18">
        <v>4283.764557920976</v>
      </c>
      <c r="L34" s="18">
        <v>4302.27790066527</v>
      </c>
      <c r="M34" s="18">
        <v>4320.891524016096</v>
      </c>
      <c r="N34" s="34"/>
      <c r="O34" s="52">
        <f t="shared" si="4"/>
        <v>50643.99574247906</v>
      </c>
      <c r="P34" s="14"/>
    </row>
    <row r="35" spans="1:16" ht="16.5" thickBot="1">
      <c r="A35" s="53" t="s">
        <v>67</v>
      </c>
      <c r="B35" s="23">
        <f>392.9/12</f>
        <v>32.74166666666667</v>
      </c>
      <c r="C35" s="23">
        <f aca="true" t="shared" si="23" ref="C35:M35">392.9/12</f>
        <v>32.74166666666667</v>
      </c>
      <c r="D35" s="23">
        <f t="shared" si="23"/>
        <v>32.74166666666667</v>
      </c>
      <c r="E35" s="23">
        <f t="shared" si="23"/>
        <v>32.74166666666667</v>
      </c>
      <c r="F35" s="23">
        <f t="shared" si="23"/>
        <v>32.74166666666667</v>
      </c>
      <c r="G35" s="23">
        <f t="shared" si="23"/>
        <v>32.74166666666667</v>
      </c>
      <c r="H35" s="23">
        <f>392.9/12</f>
        <v>32.74166666666667</v>
      </c>
      <c r="I35" s="23">
        <f t="shared" si="23"/>
        <v>32.74166666666667</v>
      </c>
      <c r="J35" s="23">
        <f>392.9/12</f>
        <v>32.74166666666667</v>
      </c>
      <c r="K35" s="23">
        <f t="shared" si="23"/>
        <v>32.74166666666667</v>
      </c>
      <c r="L35" s="23">
        <f t="shared" si="23"/>
        <v>32.74166666666667</v>
      </c>
      <c r="M35" s="23">
        <f t="shared" si="23"/>
        <v>32.74166666666667</v>
      </c>
      <c r="N35" s="34"/>
      <c r="O35" s="40">
        <f t="shared" si="4"/>
        <v>392.90000000000003</v>
      </c>
      <c r="P35" s="14"/>
    </row>
    <row r="36" spans="1:16" ht="15.75">
      <c r="A36" s="54" t="s">
        <v>68</v>
      </c>
      <c r="B36" s="52">
        <f>B3+B4+B5-B33-B34-B35</f>
        <v>11929.375686447032</v>
      </c>
      <c r="C36" s="52">
        <f aca="true" t="shared" si="24" ref="C36:M36">C3+C4+C5-C33-C34-C35</f>
        <v>11166.418686621591</v>
      </c>
      <c r="D36" s="52">
        <f t="shared" si="24"/>
        <v>19366.1336443599</v>
      </c>
      <c r="E36" s="52">
        <f t="shared" si="24"/>
        <v>-4297.3126663345565</v>
      </c>
      <c r="F36" s="52">
        <f t="shared" si="24"/>
        <v>-11424.48074834444</v>
      </c>
      <c r="G36" s="52">
        <f t="shared" si="24"/>
        <v>20643.69051188998</v>
      </c>
      <c r="H36" s="52">
        <f t="shared" si="24"/>
        <v>1252.867070280253</v>
      </c>
      <c r="I36" s="52">
        <f t="shared" si="24"/>
        <v>5776.567594688332</v>
      </c>
      <c r="J36" s="52">
        <f t="shared" si="24"/>
        <v>19908.957648904336</v>
      </c>
      <c r="K36" s="52">
        <f t="shared" si="24"/>
        <v>18081.760919303597</v>
      </c>
      <c r="L36" s="52">
        <f t="shared" si="24"/>
        <v>6291.64763442922</v>
      </c>
      <c r="M36" s="52">
        <f t="shared" si="24"/>
        <v>31095.736842374703</v>
      </c>
      <c r="N36" s="34"/>
      <c r="O36" s="52">
        <f t="shared" si="4"/>
        <v>129791.36282461995</v>
      </c>
      <c r="P36" s="14"/>
    </row>
    <row r="37" spans="1:16" ht="16.5" thickBot="1">
      <c r="A37" s="55" t="s">
        <v>69</v>
      </c>
      <c r="B37" s="27">
        <f>B36</f>
        <v>11929.375686447032</v>
      </c>
      <c r="C37" s="27">
        <f>C36+B37</f>
        <v>23095.794373068624</v>
      </c>
      <c r="D37" s="27">
        <f aca="true" t="shared" si="25" ref="D37:M37">D36+C37</f>
        <v>42461.92801742852</v>
      </c>
      <c r="E37" s="27">
        <f t="shared" si="25"/>
        <v>38164.61535109397</v>
      </c>
      <c r="F37" s="27">
        <f t="shared" si="25"/>
        <v>26740.13460274953</v>
      </c>
      <c r="G37" s="27">
        <f t="shared" si="25"/>
        <v>47383.82511463951</v>
      </c>
      <c r="H37" s="27">
        <f t="shared" si="25"/>
        <v>48636.69218491977</v>
      </c>
      <c r="I37" s="27">
        <f t="shared" si="25"/>
        <v>54413.2597796081</v>
      </c>
      <c r="J37" s="27">
        <f t="shared" si="25"/>
        <v>74322.21742851243</v>
      </c>
      <c r="K37" s="27">
        <f t="shared" si="25"/>
        <v>92403.97834781604</v>
      </c>
      <c r="L37" s="27">
        <f t="shared" si="25"/>
        <v>98695.62598224526</v>
      </c>
      <c r="M37" s="27">
        <f t="shared" si="25"/>
        <v>129791.36282461995</v>
      </c>
      <c r="N37" s="56"/>
      <c r="O37" s="45"/>
      <c r="P37" s="57"/>
    </row>
    <row r="39" ht="15.75">
      <c r="A39" s="3"/>
    </row>
  </sheetData>
  <sheetProtection/>
  <mergeCells count="1">
    <mergeCell ref="Q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gwinl</dc:creator>
  <cp:keywords/>
  <dc:description/>
  <cp:lastModifiedBy>gwinl</cp:lastModifiedBy>
  <dcterms:created xsi:type="dcterms:W3CDTF">2011-04-18T23:19:12Z</dcterms:created>
  <dcterms:modified xsi:type="dcterms:W3CDTF">2011-04-21T03:32:06Z</dcterms:modified>
  <cp:category/>
  <cp:version/>
  <cp:contentType/>
  <cp:contentStatus/>
</cp:coreProperties>
</file>